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8_{140CB73D-0567-4D66-BAA0-C743B39E2673}" xr6:coauthVersionLast="46" xr6:coauthVersionMax="46" xr10:uidLastSave="{00000000-0000-0000-0000-000000000000}"/>
  <bookViews>
    <workbookView xWindow="-120" yWindow="-120" windowWidth="20730" windowHeight="11160" tabRatio="867"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#REF!</definedName>
    <definedName name="サービス名" localSheetId="0">#REF!</definedName>
    <definedName name="サービス名">【参考】数式用!$A$5:$A$28</definedName>
    <definedName name="一覧">#REF!</definedName>
    <definedName name="種類">#REF!</definedName>
    <definedName name="特定" localSheetId="0">#REF!</definedName>
    <definedName name="特定">#REF!</definedName>
  </definedNames>
  <calcPr calcId="191029"/>
</workbook>
</file>

<file path=xl/calcChain.xml><?xml version="1.0" encoding="utf-8"?>
<calcChain xmlns="http://schemas.openxmlformats.org/spreadsheetml/2006/main">
  <c r="AE61" i="70" l="1"/>
  <c r="Y61" i="70"/>
  <c r="S61" i="70"/>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9"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<sst xmlns="http://schemas.openxmlformats.org/spreadsheetml/2006/main" count="2130" uniqueCount="468">
  <si>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</si>
  <si>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</si>
  <si>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</si>
  <si>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</si>
  <si>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</si>
  <si>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</si>
  <si>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</si>
  <si>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</si>
  <si>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</si>
  <si>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</si>
  <si>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</si>
  <si>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</si>
  <si>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</si>
  <si>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</si>
  <si>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</si>
  <si>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</si>
  <si>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</si>
  <si>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</si>
  <si>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</si>
  <si>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</si>
  <si>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</si>
  <si>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</si>
  <si>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</si>
  <si>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</si>
  <si>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</si>
  <si>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</si>
  <si>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</si>
  <si>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</si>
  <si>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</si>
  <si>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</si>
  <si>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</si>
  <si>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</si>
  <si>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</si>
  <si>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</si>
  <si>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</si>
  <si>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</si>
  <si>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</si>
  <si>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</si>
  <si>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</si>
  <si>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</si>
  <si>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</si>
  <si>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</si>
  <si>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</si>
  <si>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</si>
  <si>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</si>
  <si>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</si>
  <si>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</si>
  <si>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</si>
  <si>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</si>
  <si>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</si>
  <si>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</si>
  <si>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</si>
  <si>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</si>
  <si>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</si>
  <si>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</si>
  <si>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</si>
  <si>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</si>
  <si>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</si>
  <si>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</si>
  <si>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</si>
  <si>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</si>
  <si>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</si>
  <si>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</si>
  <si>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</si>
  <si>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</si>
  <si>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</si>
  <si>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</si>
  <si>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</si>
  <si>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</si>
  <si>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</si>
  <si>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</si>
  <si>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</si>
  <si>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</si>
  <si>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</si>
  <si>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</si>
  <si>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</si>
  <si>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</si>
  <si>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</si>
  <si>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</si>
  <si>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</si>
  <si>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</si>
  <si>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</si>
  <si>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</si>
  <si>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</si>
  <si>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</si>
  <si>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</si>
  <si>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</si>
  <si>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</si>
  <si>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</si>
  <si>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</si>
  <si>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</si>
  <si>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</si>
  <si>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</si>
  <si>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</si>
  <si>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</si>
  <si>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</si>
  <si>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</si>
  <si>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</si>
  <si>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</si>
  <si>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</si>
  <si>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</si>
  <si>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</si>
  <si>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</si>
  <si>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</si>
  <si>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</si>
  <si>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</si>
  <si>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</si>
  <si>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</si>
  <si>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</si>
  <si>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</si>
  <si>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</si>
  <si>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</si>
  <si>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</si>
  <si>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</si>
  <si>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</si>
  <si>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</si>
  <si>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</si>
  <si>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</si>
  <si>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</si>
  <si>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</si>
  <si>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</si>
  <si>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</si>
  <si>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</si>
  <si>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</si>
  <si>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</si>
  <si>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</si>
  <si>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</si>
  <si>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</si>
  <si>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</si>
  <si>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</si>
  <si>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</si>
  <si>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</si>
  <si>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</si>
  <si>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</si>
  <si>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</si>
  <si>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</si>
  <si>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</si>
  <si>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</si>
  <si>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</si>
  <si>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</si>
  <si>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</si>
  <si>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</si>
  <si>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</si>
  <si>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</si>
  <si>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</si>
  <si>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</si>
  <si>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</si>
  <si>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</si>
  <si>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</si>
  <si>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</si>
  <si>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</si>
  <si>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</si>
  <si>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</si>
  <si>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</si>
  <si>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</si>
  <si>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</si>
  <si>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</si>
  <si>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</si>
  <si>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</si>
  <si>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</si>
  <si>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</si>
  <si>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</si>
  <si>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</si>
  <si>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</si>
  <si>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</si>
  <si>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</si>
  <si>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</si>
  <si>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</si>
  <si>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</si>
  <si>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</si>
  <si>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</si>
  <si>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</si>
  <si>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</si>
  <si>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</si>
  <si>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</si>
  <si>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</si>
  <si>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</si>
  <si>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</si>
  <si>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</si>
  <si>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</si>
  <si>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</si>
  <si>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</si>
  <si>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</si>
  <si>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</si>
  <si>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</si>
  <si>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</si>
  <si>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</si>
  <si>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</si>
  <si>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</si>
  <si>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</si>
  <si>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</si>
  <si>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</si>
  <si>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</si>
  <si>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</si>
  <si>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</si>
  <si>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</si>
  <si>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</si>
  <si>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</si>
  <si>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</si>
  <si>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</si>
  <si>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</si>
  <si>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</si>
  <si>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</si>
  <si>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</si>
  <si>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</si>
  <si>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</si>
  <si>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</si>
  <si>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</si>
  <si>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</si>
  <si>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</si>
  <si>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</si>
  <si>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</si>
  <si>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</si>
  <si>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</si>
  <si>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</si>
  <si>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</si>
  <si>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</si>
  <si>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</si>
  <si>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</si>
  <si>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</si>
  <si>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</si>
  <si>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</si>
  <si>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</si>
  <si>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</si>
  <si>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</si>
  <si>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</si>
  <si>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</si>
  <si>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</si>
  <si>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</si>
  <si>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</si>
  <si>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</si>
  <si>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</si>
  <si>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</si>
  <si>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</si>
  <si>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</si>
  <si>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</si>
  <si>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</si>
  <si>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</si>
  <si>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</si>
  <si>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</si>
  <si>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</si>
  <si>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</si>
  <si>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</si>
  <si>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</si>
  <si>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</si>
  <si>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</si>
  <si>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</si>
  <si>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</si>
  <si>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</si>
  <si>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</si>
  <si>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</si>
  <si>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</si>
  <si>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</si>
  <si>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</si>
  <si>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</si>
  <si>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</si>
  <si>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</si>
  <si>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</si>
  <si>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</si>
  <si>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</si>
  <si>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</si>
  <si>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</si>
  <si>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</si>
  <si>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</si>
  <si>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</si>
  <si>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</si>
  <si>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</si>
  <si>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</si>
  <si>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</si>
  <si>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</si>
  <si>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</si>
  <si>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</si>
  <si>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</si>
  <si>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</si>
  <si>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</si>
  <si>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</si>
  <si>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</si>
  <si>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</si>
  <si>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</si>
  <si>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</si>
  <si>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</si>
  <si>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</si>
  <si>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</si>
  <si>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</si>
  <si>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</si>
  <si>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</si>
  <si>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</si>
  <si>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</si>
  <si>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</si>
  <si>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</si>
  <si>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</si>
  <si>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</si>
  <si>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</si>
  <si>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</si>
  <si>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</si>
  <si>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</si>
  <si>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</si>
  <si>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</si>
  <si>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</si>
  <si>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</si>
  <si>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</si>
  <si>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</si>
  <si>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</si>
  <si>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</si>
  <si>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</si>
  <si>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</si>
  <si>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</si>
  <si>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</si>
  <si>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</si>
  <si>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</si>
  <si>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</si>
  <si>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</si>
  <si>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</si>
  <si>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</si>
  <si>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</si>
  <si>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</si>
  <si>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</si>
  <si>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</si>
  <si>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</si>
  <si>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</si>
  <si>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</si>
  <si>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</si>
  <si>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</si>
  <si>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</si>
  <si>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</si>
  <si>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</si>
  <si>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</si>
  <si>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</si>
  <si>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</si>
  <si>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</si>
  <si>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</si>
  <si>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</si>
  <si>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</si>
  <si>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</si>
  <si>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</si>
  <si>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</si>
  <si>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</si>
  <si>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</si>
  <si>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</si>
  <si>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</si>
  <si>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</si>
  <si>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</si>
  <si>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</si>
  <si>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</si>
  <si>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</si>
  <si>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</si>
  <si>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</si>
  <si>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</si>
  <si>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</si>
  <si>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</si>
  <si>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</si>
  <si>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</si>
  <si>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</si>
  <si>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</si>
  <si>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</si>
  <si>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</si>
  <si>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</si>
  <si>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</si>
  <si>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</si>
  <si>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</si>
  <si>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</si>
  <si>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</si>
  <si>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</si>
  <si>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</si>
  <si>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</si>
  <si>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</si>
  <si>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</si>
  <si>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</si>
  <si>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</si>
  <si>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</si>
  <si>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</si>
  <si>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</si>
  <si>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</si>
  <si>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</si>
  <si>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</si>
  <si>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</si>
  <si>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</si>
  <si>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</si>
  <si>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</si>
  <si>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</si>
  <si>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</si>
  <si>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</si>
  <si>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</si>
  <si>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</si>
  <si>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</si>
  <si>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</si>
  <si>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</si>
  <si>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</si>
  <si>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</si>
  <si>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</si>
  <si>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</si>
  <si>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</si>
  <si>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</si>
  <si>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</si>
  <si>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</si>
  <si>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</si>
  <si>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</si>
  <si>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</si>
  <si>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</si>
  <si>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</si>
  <si>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</si>
  <si>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</si>
  <si>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</si>
  <si>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</si>
  <si>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</si>
  <si>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</si>
  <si>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</si>
  <si>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</si>
  <si>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</si>
  <si>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</si>
  <si>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</si>
  <si>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</si>
  <si>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</si>
  <si>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</si>
  <si>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</si>
  <si>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</si>
  <si>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</si>
  <si>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</si>
  <si>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</si>
  <si>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</si>
  <si>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</si>
  <si>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</si>
  <si>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</si>
  <si>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</si>
  <si>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</si>
  <si>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</si>
  <si>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</si>
  <si>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</si>
  <si>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</si>
  <si>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</si>
  <si>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</si>
  <si>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</si>
  <si>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</si>
  <si>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</si>
  <si>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</si>
  <si>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</si>
  <si>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</si>
  <si>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</si>
  <si>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</si>
  <si>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</si>
  <si>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</si>
  <si>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</si>
  <si>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</si>
  <si>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</si>
  <si>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</si>
  <si>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</si>
  <si>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</si>
  <si>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出雲市</t>
  </si>
  <si>
    <t>出雲市</t>
    <rPh sb="0" eb="3">
      <t>イズモシ</t>
    </rPh>
    <phoneticPr fontId="7"/>
  </si>
  <si>
    <t>カブシキガイシャラッシュ</t>
    <phoneticPr fontId="7"/>
  </si>
  <si>
    <t>株式会社ラッシュ</t>
    <rPh sb="0" eb="4">
      <t>カブシキガイシャ</t>
    </rPh>
    <phoneticPr fontId="7"/>
  </si>
  <si>
    <t>島根県松江市東津田町１８０６－１</t>
    <rPh sb="0" eb="3">
      <t>シマネケン</t>
    </rPh>
    <rPh sb="3" eb="6">
      <t>マツエシ</t>
    </rPh>
    <rPh sb="6" eb="7">
      <t>ヒガシ</t>
    </rPh>
    <rPh sb="7" eb="10">
      <t>ツダチョウ</t>
    </rPh>
    <phoneticPr fontId="7"/>
  </si>
  <si>
    <t>代表取締役</t>
    <rPh sb="0" eb="5">
      <t>ダイヒョウトリシマリヤク</t>
    </rPh>
    <phoneticPr fontId="7"/>
  </si>
  <si>
    <t>白根侑哉</t>
    <rPh sb="0" eb="4">
      <t>シラネユウヤ</t>
    </rPh>
    <phoneticPr fontId="7"/>
  </si>
  <si>
    <t>シラネユウヤ</t>
    <phoneticPr fontId="7"/>
  </si>
  <si>
    <t>島根県</t>
  </si>
  <si>
    <t>グループホーム柳緑の里</t>
  </si>
  <si>
    <t>（介護予防）認知症対応型共同生活介護</t>
  </si>
  <si>
    <t>役職者、資格取得者の基本給、手当等の増額　5000円～100000円程度
勤続年数に応じた昇給制度の導入
毎月の処遇改善手当として5000円～70,000円程度各職員に支給
年2回の賞与として支給（見込み額を上回る場合）</t>
    <rPh sb="0" eb="3">
      <t>ヤクショクシャ</t>
    </rPh>
    <rPh sb="4" eb="6">
      <t>シカク</t>
    </rPh>
    <rPh sb="6" eb="8">
      <t>シュトク</t>
    </rPh>
    <rPh sb="8" eb="9">
      <t>シャ</t>
    </rPh>
    <rPh sb="10" eb="13">
      <t>キホンキュウ</t>
    </rPh>
    <rPh sb="14" eb="16">
      <t>テアテ</t>
    </rPh>
    <rPh sb="16" eb="17">
      <t>トウ</t>
    </rPh>
    <rPh sb="18" eb="20">
      <t>ゾウガク</t>
    </rPh>
    <rPh sb="25" eb="26">
      <t>エン</t>
    </rPh>
    <rPh sb="33" eb="34">
      <t>エン</t>
    </rPh>
    <rPh sb="34" eb="36">
      <t>テイド</t>
    </rPh>
    <rPh sb="37" eb="39">
      <t>キンゾク</t>
    </rPh>
    <rPh sb="39" eb="41">
      <t>ネンスウ</t>
    </rPh>
    <rPh sb="42" eb="43">
      <t>オウ</t>
    </rPh>
    <rPh sb="45" eb="47">
      <t>ショウキュウ</t>
    </rPh>
    <rPh sb="47" eb="49">
      <t>セイド</t>
    </rPh>
    <rPh sb="50" eb="52">
      <t>ドウニュウ</t>
    </rPh>
    <rPh sb="53" eb="55">
      <t>マイツキ</t>
    </rPh>
    <rPh sb="56" eb="58">
      <t>ショグウ</t>
    </rPh>
    <rPh sb="58" eb="60">
      <t>カイゼン</t>
    </rPh>
    <rPh sb="60" eb="62">
      <t>テアテ</t>
    </rPh>
    <rPh sb="69" eb="70">
      <t>エン</t>
    </rPh>
    <rPh sb="73" eb="78">
      <t>０００エン</t>
    </rPh>
    <rPh sb="78" eb="80">
      <t>テイド</t>
    </rPh>
    <rPh sb="80" eb="81">
      <t>カク</t>
    </rPh>
    <rPh sb="81" eb="83">
      <t>ショクイン</t>
    </rPh>
    <rPh sb="84" eb="86">
      <t>シキュウ</t>
    </rPh>
    <rPh sb="87" eb="88">
      <t>ネン</t>
    </rPh>
    <rPh sb="89" eb="90">
      <t>カイ</t>
    </rPh>
    <rPh sb="91" eb="93">
      <t>ショウヨ</t>
    </rPh>
    <rPh sb="96" eb="98">
      <t>シキュウ</t>
    </rPh>
    <rPh sb="99" eb="101">
      <t>ミコ</t>
    </rPh>
    <rPh sb="102" eb="103">
      <t>ガク</t>
    </rPh>
    <rPh sb="104" eb="106">
      <t>ウワマワ</t>
    </rPh>
    <rPh sb="107" eb="109">
      <t>バアイ</t>
    </rPh>
    <phoneticPr fontId="7"/>
  </si>
  <si>
    <t>Aグループ　勤続5年以上の介護福祉士資格を有する常勤職員・技能経験を有する職員
Bグループ　勤続1年以上の常勤の介護福祉士・その他職種で技能経験を有する職員
※技能経験とは、管理業務・サービス提供責任者業務・生活相談業務・施設主任等の役職を担う者をいう。</t>
    <rPh sb="6" eb="8">
      <t>キンゾク</t>
    </rPh>
    <rPh sb="9" eb="10">
      <t>ネン</t>
    </rPh>
    <rPh sb="10" eb="12">
      <t>イジョウ</t>
    </rPh>
    <rPh sb="13" eb="15">
      <t>カイゴ</t>
    </rPh>
    <rPh sb="15" eb="18">
      <t>フクシシ</t>
    </rPh>
    <rPh sb="18" eb="20">
      <t>シカク</t>
    </rPh>
    <rPh sb="21" eb="22">
      <t>ユウ</t>
    </rPh>
    <rPh sb="24" eb="26">
      <t>ジョウキン</t>
    </rPh>
    <rPh sb="26" eb="28">
      <t>ショクイン</t>
    </rPh>
    <rPh sb="29" eb="31">
      <t>ギノウ</t>
    </rPh>
    <rPh sb="31" eb="33">
      <t>ケイケン</t>
    </rPh>
    <rPh sb="34" eb="35">
      <t>ユウ</t>
    </rPh>
    <rPh sb="37" eb="39">
      <t>ショクイン</t>
    </rPh>
    <rPh sb="47" eb="49">
      <t>キンゾク</t>
    </rPh>
    <rPh sb="50" eb="51">
      <t>ネン</t>
    </rPh>
    <rPh sb="51" eb="53">
      <t>イジョウ</t>
    </rPh>
    <rPh sb="54" eb="56">
      <t>ジョウキン</t>
    </rPh>
    <rPh sb="57" eb="59">
      <t>カイゴ</t>
    </rPh>
    <rPh sb="59" eb="62">
      <t>フクシシ</t>
    </rPh>
    <rPh sb="65" eb="66">
      <t>タ</t>
    </rPh>
    <rPh sb="66" eb="68">
      <t>ショクシュ</t>
    </rPh>
    <rPh sb="69" eb="71">
      <t>ギノウ</t>
    </rPh>
    <rPh sb="71" eb="73">
      <t>ケイケン</t>
    </rPh>
    <rPh sb="74" eb="75">
      <t>ユウ</t>
    </rPh>
    <rPh sb="77" eb="79">
      <t>ショクイン</t>
    </rPh>
    <rPh sb="82" eb="84">
      <t>ギノウ</t>
    </rPh>
    <rPh sb="84" eb="86">
      <t>ケイケン</t>
    </rPh>
    <rPh sb="89" eb="91">
      <t>カンリ</t>
    </rPh>
    <rPh sb="91" eb="93">
      <t>ギョウム</t>
    </rPh>
    <rPh sb="98" eb="100">
      <t>テイキョウ</t>
    </rPh>
    <rPh sb="100" eb="103">
      <t>セキニンシャ</t>
    </rPh>
    <rPh sb="103" eb="105">
      <t>ギョウム</t>
    </rPh>
    <rPh sb="106" eb="108">
      <t>セイカツ</t>
    </rPh>
    <rPh sb="108" eb="110">
      <t>ソウダン</t>
    </rPh>
    <rPh sb="110" eb="112">
      <t>ギョウム</t>
    </rPh>
    <rPh sb="113" eb="115">
      <t>シセツ</t>
    </rPh>
    <rPh sb="115" eb="117">
      <t>シュニン</t>
    </rPh>
    <rPh sb="117" eb="118">
      <t>トウ</t>
    </rPh>
    <rPh sb="119" eb="121">
      <t>ヤクショク</t>
    </rPh>
    <rPh sb="122" eb="123">
      <t>ニナ</t>
    </rPh>
    <rPh sb="124" eb="125">
      <t>モノ</t>
    </rPh>
    <phoneticPr fontId="7"/>
  </si>
  <si>
    <t>Aグループ　勤続5年以上の介護福祉士資格を有する常勤職員・技能経験を有する職員　　　　　　
Bグループ　勤続1年以上の常勤の介護福祉士・その他職種で技能経験を有する職員
について　特定処遇改善加算金として月額平均12700円を支給。冬季賞与として支給（見込み額を上回る場合）
※技能経験とは、管理業務・サービス提供責任者業務・生活相談業務・施設主任等の役職を担う者をいう。</t>
    <rPh sb="6" eb="8">
      <t>キンゾク</t>
    </rPh>
    <rPh sb="9" eb="10">
      <t>ネン</t>
    </rPh>
    <rPh sb="10" eb="12">
      <t>イジョウ</t>
    </rPh>
    <rPh sb="13" eb="15">
      <t>カイゴ</t>
    </rPh>
    <rPh sb="15" eb="18">
      <t>フクシシ</t>
    </rPh>
    <rPh sb="18" eb="20">
      <t>シカク</t>
    </rPh>
    <rPh sb="21" eb="22">
      <t>ユウ</t>
    </rPh>
    <rPh sb="24" eb="26">
      <t>ジョウキン</t>
    </rPh>
    <rPh sb="26" eb="28">
      <t>ショクイン</t>
    </rPh>
    <rPh sb="29" eb="31">
      <t>ギノウ</t>
    </rPh>
    <rPh sb="31" eb="33">
      <t>ケイケン</t>
    </rPh>
    <rPh sb="34" eb="35">
      <t>ユウ</t>
    </rPh>
    <rPh sb="37" eb="39">
      <t>ショクイン</t>
    </rPh>
    <rPh sb="52" eb="54">
      <t>キンゾク</t>
    </rPh>
    <rPh sb="55" eb="56">
      <t>ネン</t>
    </rPh>
    <rPh sb="56" eb="58">
      <t>イジョウ</t>
    </rPh>
    <rPh sb="59" eb="61">
      <t>ジョウキン</t>
    </rPh>
    <rPh sb="62" eb="64">
      <t>カイゴ</t>
    </rPh>
    <rPh sb="64" eb="67">
      <t>フクシシ</t>
    </rPh>
    <rPh sb="70" eb="71">
      <t>タ</t>
    </rPh>
    <rPh sb="71" eb="73">
      <t>ショクシュ</t>
    </rPh>
    <rPh sb="74" eb="76">
      <t>ギノウ</t>
    </rPh>
    <rPh sb="76" eb="78">
      <t>ケイケン</t>
    </rPh>
    <rPh sb="79" eb="80">
      <t>ユウ</t>
    </rPh>
    <rPh sb="82" eb="84">
      <t>ショクイン</t>
    </rPh>
    <rPh sb="90" eb="92">
      <t>トクテイ</t>
    </rPh>
    <rPh sb="92" eb="94">
      <t>ショグウ</t>
    </rPh>
    <rPh sb="94" eb="96">
      <t>カイゼン</t>
    </rPh>
    <rPh sb="96" eb="99">
      <t>カサンキン</t>
    </rPh>
    <rPh sb="102" eb="103">
      <t>ツキ</t>
    </rPh>
    <rPh sb="103" eb="104">
      <t>ガク</t>
    </rPh>
    <rPh sb="104" eb="106">
      <t>ヘイキン</t>
    </rPh>
    <rPh sb="111" eb="112">
      <t>エン</t>
    </rPh>
    <rPh sb="113" eb="115">
      <t>シキュウ</t>
    </rPh>
    <rPh sb="116" eb="118">
      <t>トウキ</t>
    </rPh>
    <rPh sb="118" eb="120">
      <t>ショウヨ</t>
    </rPh>
    <rPh sb="123" eb="125">
      <t>シキュウ</t>
    </rPh>
    <rPh sb="126" eb="128">
      <t>ミコ</t>
    </rPh>
    <rPh sb="129" eb="130">
      <t>ガク</t>
    </rPh>
    <rPh sb="131" eb="133">
      <t>ウワマワ</t>
    </rPh>
    <rPh sb="134" eb="136">
      <t>バアイ</t>
    </rPh>
    <rPh sb="140" eb="142">
      <t>ギノウ</t>
    </rPh>
    <rPh sb="142" eb="144">
      <t>ケイケン</t>
    </rPh>
    <rPh sb="147" eb="149">
      <t>カンリ</t>
    </rPh>
    <rPh sb="149" eb="151">
      <t>ギョウム</t>
    </rPh>
    <rPh sb="156" eb="158">
      <t>テイキョウ</t>
    </rPh>
    <rPh sb="158" eb="161">
      <t>セキニンシャ</t>
    </rPh>
    <rPh sb="161" eb="163">
      <t>ギョウム</t>
    </rPh>
    <rPh sb="164" eb="166">
      <t>セイカツ</t>
    </rPh>
    <rPh sb="166" eb="168">
      <t>ソウダン</t>
    </rPh>
    <rPh sb="168" eb="170">
      <t>ギョウム</t>
    </rPh>
    <rPh sb="171" eb="173">
      <t>シセツ</t>
    </rPh>
    <rPh sb="173" eb="175">
      <t>シュニン</t>
    </rPh>
    <rPh sb="175" eb="176">
      <t>トウ</t>
    </rPh>
    <rPh sb="177" eb="179">
      <t>ヤクショク</t>
    </rPh>
    <rPh sb="180" eb="181">
      <t>ニナ</t>
    </rPh>
    <rPh sb="182" eb="183">
      <t>モノ</t>
    </rPh>
    <phoneticPr fontId="7"/>
  </si>
  <si>
    <t>資格所得の為の費用負担・勤務シフトの変更、軽減</t>
    <rPh sb="0" eb="2">
      <t>シカク</t>
    </rPh>
    <rPh sb="2" eb="4">
      <t>ショトク</t>
    </rPh>
    <rPh sb="5" eb="6">
      <t>タメ</t>
    </rPh>
    <rPh sb="7" eb="9">
      <t>ヒヨウ</t>
    </rPh>
    <rPh sb="9" eb="11">
      <t>フタン</t>
    </rPh>
    <rPh sb="12" eb="14">
      <t>キンム</t>
    </rPh>
    <rPh sb="18" eb="20">
      <t>ヘンコウ</t>
    </rPh>
    <rPh sb="21" eb="23">
      <t>ケイゲン</t>
    </rPh>
    <phoneticPr fontId="7"/>
  </si>
  <si>
    <t>代表取締役</t>
    <rPh sb="0" eb="2">
      <t>ダイヒョウ</t>
    </rPh>
    <rPh sb="2" eb="5">
      <t>トリシマリヤク</t>
    </rPh>
    <phoneticPr fontId="7"/>
  </si>
  <si>
    <t>継続</t>
  </si>
  <si>
    <t>加算Ⅰ</t>
  </si>
  <si>
    <t>特定加算Ⅱ</t>
  </si>
  <si>
    <t>0852-67-1145　　　　080-1910-4512</t>
    <phoneticPr fontId="7"/>
  </si>
  <si>
    <t>0852-67-1146</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</si>
</sst>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Protection="1">
      <alignment vertical="center"/>
      <protection locked="0"/>
    </xf>
    <xf numFmtId="0" fontId="74" fillId="25" borderId="32" xfId="0" applyFont="1" applyFill="1" applyBorder="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Protection="1">
      <alignment vertical="center"/>
      <protection locked="0"/>
    </xf>
    <xf numFmtId="0" fontId="74" fillId="28" borderId="32" xfId="0" applyFont="1" applyFill="1" applyBorder="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568938"/>
              <a:ext cx="187325" cy="19415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93443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553438"/>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16775" y="396875"/>
          <a:ext cx="52687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435</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367</v>
      </c>
    </row>
    <row r="5" spans="1:5" ht="18" customHeight="1">
      <c r="A5" s="34" t="s">
        <v>253</v>
      </c>
      <c r="B5" s="172">
        <v>1</v>
      </c>
      <c r="C5" s="172" t="s">
        <v>254</v>
      </c>
      <c r="D5" s="51" t="s">
        <v>255</v>
      </c>
      <c r="E5" s="35" t="s">
        <v>256</v>
      </c>
    </row>
    <row r="6" spans="1:5" ht="75" customHeight="1">
      <c r="A6" s="36" t="s">
        <v>257</v>
      </c>
      <c r="B6" s="35">
        <v>1</v>
      </c>
      <c r="C6" s="173" t="s">
        <v>10</v>
      </c>
      <c r="D6" s="57" t="s">
        <v>363</v>
      </c>
      <c r="E6" s="52" t="s">
        <v>256</v>
      </c>
    </row>
    <row r="7" spans="1:5" ht="105" customHeight="1">
      <c r="A7" s="36" t="s">
        <v>258</v>
      </c>
      <c r="B7" s="35">
        <v>1</v>
      </c>
      <c r="C7" s="173" t="s">
        <v>35</v>
      </c>
      <c r="D7" s="57" t="s">
        <v>364</v>
      </c>
      <c r="E7" s="37" t="s">
        <v>259</v>
      </c>
    </row>
    <row r="8" spans="1:5" ht="60" customHeight="1">
      <c r="A8" s="36" t="s">
        <v>318</v>
      </c>
      <c r="B8" s="35" t="s">
        <v>368</v>
      </c>
      <c r="C8" s="173" t="s">
        <v>11</v>
      </c>
      <c r="D8" s="57" t="s">
        <v>365</v>
      </c>
      <c r="E8" s="37" t="s">
        <v>259</v>
      </c>
    </row>
    <row r="9" spans="1:5" ht="60" customHeight="1">
      <c r="A9" s="36" t="s">
        <v>260</v>
      </c>
      <c r="B9" s="35" t="s">
        <v>368</v>
      </c>
      <c r="C9" s="173" t="s">
        <v>11</v>
      </c>
      <c r="D9" s="57" t="s">
        <v>366</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434</v>
      </c>
      <c r="B19" s="41"/>
    </row>
    <row r="20" spans="1:6" s="44" customFormat="1" ht="17.25">
      <c r="A20" s="42" t="s">
        <v>369</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370</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431</v>
      </c>
      <c r="B33" s="689"/>
      <c r="C33" s="689"/>
      <c r="D33" s="689"/>
      <c r="F33" s="682"/>
    </row>
    <row r="34" spans="1:6" s="681" customFormat="1" ht="17.25">
      <c r="A34" s="690" t="s">
        <v>432</v>
      </c>
      <c r="B34" s="690"/>
      <c r="C34" s="690"/>
      <c r="D34" s="690"/>
      <c r="E34" s="690"/>
      <c r="F34" s="690"/>
    </row>
    <row r="35" spans="1:6" s="681" customFormat="1" ht="35.25" customHeight="1">
      <c r="A35" s="690" t="s">
        <v>436</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4" zoomScaleNormal="100" zoomScaleSheetLayoutView="100" workbookViewId="0">
      <selection activeCell="M23" sqref="M23:X2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t="s">
        <v>448</v>
      </c>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t="s">
        <v>449</v>
      </c>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t="s">
        <v>450</v>
      </c>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v>6</v>
      </c>
      <c r="N17" s="182">
        <v>9</v>
      </c>
      <c r="O17" s="182">
        <v>0</v>
      </c>
      <c r="P17" s="183" t="s">
        <v>129</v>
      </c>
      <c r="Q17" s="182">
        <v>0</v>
      </c>
      <c r="R17" s="182">
        <v>0</v>
      </c>
      <c r="S17" s="182">
        <v>1</v>
      </c>
      <c r="T17" s="184">
        <v>1</v>
      </c>
      <c r="U17" s="185"/>
      <c r="V17" s="186"/>
      <c r="W17" s="186"/>
      <c r="X17" s="186"/>
      <c r="Y17" s="176"/>
      <c r="Z17" s="176"/>
      <c r="AA17" s="176"/>
      <c r="AC17" t="str">
        <f>CONCATENATE(M17,N17,O17,P17,Q17,R17,S17,T17)</f>
        <v>690－0011</v>
      </c>
    </row>
    <row r="18" spans="1:29" ht="20.100000000000001" customHeight="1">
      <c r="A18" s="176"/>
      <c r="B18" s="187"/>
      <c r="C18" s="713" t="s">
        <v>127</v>
      </c>
      <c r="D18" s="713"/>
      <c r="E18" s="713"/>
      <c r="F18" s="713"/>
      <c r="G18" s="713"/>
      <c r="H18" s="713"/>
      <c r="I18" s="713"/>
      <c r="J18" s="713"/>
      <c r="K18" s="713"/>
      <c r="L18" s="714"/>
      <c r="M18" s="715" t="s">
        <v>451</v>
      </c>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t="s">
        <v>452</v>
      </c>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t="s">
        <v>453</v>
      </c>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t="s">
        <v>454</v>
      </c>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t="s">
        <v>453</v>
      </c>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t="s">
        <v>466</v>
      </c>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t="s">
        <v>467</v>
      </c>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372</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v>3</v>
      </c>
      <c r="D33" s="193">
        <v>2</v>
      </c>
      <c r="E33" s="193">
        <v>9</v>
      </c>
      <c r="F33" s="193">
        <v>0</v>
      </c>
      <c r="G33" s="193">
        <v>4</v>
      </c>
      <c r="H33" s="193">
        <v>0</v>
      </c>
      <c r="I33" s="193">
        <v>0</v>
      </c>
      <c r="J33" s="193">
        <v>6</v>
      </c>
      <c r="K33" s="193">
        <v>4</v>
      </c>
      <c r="L33" s="194">
        <v>1</v>
      </c>
      <c r="M33" s="723" t="s">
        <v>447</v>
      </c>
      <c r="N33" s="723"/>
      <c r="O33" s="723"/>
      <c r="P33" s="723"/>
      <c r="Q33" s="723"/>
      <c r="R33" s="723" t="s">
        <v>455</v>
      </c>
      <c r="S33" s="723"/>
      <c r="T33" s="723"/>
      <c r="U33" s="723"/>
      <c r="V33" s="723"/>
      <c r="W33" s="195" t="s">
        <v>447</v>
      </c>
      <c r="X33" s="196" t="s">
        <v>456</v>
      </c>
      <c r="Y33" s="196" t="s">
        <v>457</v>
      </c>
      <c r="Z33" s="197">
        <v>405000</v>
      </c>
      <c r="AA33" s="198">
        <v>10</v>
      </c>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X267"/>
  <sheetViews>
    <sheetView tabSelected="1" view="pageBreakPreview" zoomScale="120" zoomScaleNormal="120" zoomScaleSheetLayoutView="120" workbookViewId="0">
      <selection activeCell="AB31" sqref="AB31:AH31"/>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
        <v>448</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v>3</v>
      </c>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カブシキガイシャラッシュ</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株式会社ラッシュ</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690－0011</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島根県松江市東津田町１８０６－１</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シラネユウヤ</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白根侑哉</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0852-67-1145　　　　080-1910-4512</v>
      </c>
      <c r="L15" s="767"/>
      <c r="M15" s="767"/>
      <c r="N15" s="767"/>
      <c r="O15" s="767"/>
      <c r="P15" s="765" t="s">
        <v>1</v>
      </c>
      <c r="Q15" s="765"/>
      <c r="R15" s="765"/>
      <c r="S15" s="765"/>
      <c r="T15" s="767" t="str">
        <f>IF(基本情報入力シート!M25="","",基本情報入力シート!M25)</f>
        <v>0852-67-1146</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373</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v>3</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5394600</v>
      </c>
      <c r="AC28" s="993"/>
      <c r="AD28" s="993"/>
      <c r="AE28" s="993"/>
      <c r="AF28" s="993"/>
      <c r="AG28" s="993"/>
      <c r="AH28" s="993"/>
      <c r="AI28" s="986" t="s">
        <v>2</v>
      </c>
      <c r="AJ28" s="786"/>
      <c r="AK28" s="62"/>
      <c r="AT28" s="64"/>
    </row>
    <row r="29" spans="1:46" ht="21" customHeight="1" thickBot="1">
      <c r="A29" s="264" t="s">
        <v>29</v>
      </c>
      <c r="B29" s="265" t="s">
        <v>374</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5717928</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v>39035867</v>
      </c>
      <c r="AC30" s="1003"/>
      <c r="AD30" s="1003"/>
      <c r="AE30" s="1003"/>
      <c r="AF30" s="1003"/>
      <c r="AG30" s="1003"/>
      <c r="AH30" s="1004"/>
      <c r="AI30" s="840" t="s">
        <v>2</v>
      </c>
      <c r="AJ30" s="841"/>
      <c r="AK30" s="59"/>
      <c r="AT30" s="64"/>
    </row>
    <row r="31" spans="1:46" ht="21" customHeight="1" thickBot="1">
      <c r="A31" s="270"/>
      <c r="B31" s="999" t="s">
        <v>375</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33317939</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v>39035867</v>
      </c>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v>4774908</v>
      </c>
      <c r="AC33" s="939"/>
      <c r="AD33" s="939"/>
      <c r="AE33" s="939"/>
      <c r="AF33" s="939"/>
      <c r="AG33" s="939"/>
      <c r="AH33" s="940"/>
      <c r="AI33" s="840" t="s">
        <v>2</v>
      </c>
      <c r="AJ33" s="841"/>
      <c r="AK33" s="62"/>
      <c r="AT33" s="64"/>
    </row>
    <row r="34" spans="1:46" ht="21" customHeight="1" thickBot="1">
      <c r="A34" s="271"/>
      <c r="B34" s="932"/>
      <c r="C34" s="274" t="s">
        <v>376</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v>943020</v>
      </c>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v>0</v>
      </c>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v>3</v>
      </c>
      <c r="Q36" s="965"/>
      <c r="R36" s="284" t="s">
        <v>12</v>
      </c>
      <c r="S36" s="965">
        <v>6</v>
      </c>
      <c r="T36" s="965"/>
      <c r="U36" s="284" t="s">
        <v>13</v>
      </c>
      <c r="V36" s="790" t="s">
        <v>14</v>
      </c>
      <c r="W36" s="790"/>
      <c r="X36" s="284" t="s">
        <v>34</v>
      </c>
      <c r="Y36" s="284"/>
      <c r="Z36" s="965">
        <v>4</v>
      </c>
      <c r="AA36" s="965"/>
      <c r="AB36" s="284" t="s">
        <v>12</v>
      </c>
      <c r="AC36" s="965">
        <v>5</v>
      </c>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377</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378</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371</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437</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3</v>
      </c>
      <c r="E49" s="788"/>
      <c r="F49" s="305" t="s">
        <v>379</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1117800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5717928</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v>39035867</v>
      </c>
      <c r="AC51" s="983"/>
      <c r="AD51" s="983"/>
      <c r="AE51" s="983"/>
      <c r="AF51" s="983"/>
      <c r="AG51" s="983"/>
      <c r="AH51" s="984"/>
      <c r="AI51" s="840" t="s">
        <v>2</v>
      </c>
      <c r="AJ51" s="841"/>
      <c r="AK51" s="59"/>
      <c r="AT51" s="64"/>
    </row>
    <row r="52" spans="1:50" ht="21" customHeight="1" thickBot="1">
      <c r="A52" s="304"/>
      <c r="B52" s="1008" t="s">
        <v>380</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33317939</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v>39035867</v>
      </c>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v>4774908</v>
      </c>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v>943020</v>
      </c>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v>0</v>
      </c>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381</v>
      </c>
      <c r="C58" s="1011"/>
      <c r="D58" s="1011"/>
      <c r="E58" s="1011"/>
      <c r="F58" s="1011"/>
      <c r="G58" s="1011"/>
      <c r="H58" s="1011"/>
      <c r="I58" s="1011"/>
      <c r="J58" s="1011"/>
      <c r="K58" s="1011"/>
      <c r="L58" s="1011"/>
      <c r="M58" s="1011"/>
      <c r="N58" s="1011"/>
      <c r="O58" s="1011"/>
      <c r="P58" s="1011"/>
      <c r="Q58" s="1011"/>
      <c r="R58" s="1012"/>
      <c r="S58" s="978">
        <v>14794900</v>
      </c>
      <c r="T58" s="979"/>
      <c r="U58" s="979"/>
      <c r="V58" s="979"/>
      <c r="W58" s="980"/>
      <c r="X58" s="321" t="s">
        <v>2</v>
      </c>
      <c r="Y58" s="978">
        <v>24240967</v>
      </c>
      <c r="Z58" s="979"/>
      <c r="AA58" s="979"/>
      <c r="AB58" s="979"/>
      <c r="AC58" s="980"/>
      <c r="AD58" s="322" t="s">
        <v>2</v>
      </c>
      <c r="AE58" s="978"/>
      <c r="AF58" s="979"/>
      <c r="AG58" s="979"/>
      <c r="AH58" s="979"/>
      <c r="AI58" s="980"/>
      <c r="AJ58" s="323" t="s">
        <v>2</v>
      </c>
      <c r="AL58" s="76" t="s">
        <v>163</v>
      </c>
      <c r="AT58" s="64"/>
    </row>
    <row r="59" spans="1:50" ht="21.75" customHeight="1" thickBot="1">
      <c r="A59" s="1007"/>
      <c r="B59" s="324" t="s">
        <v>382</v>
      </c>
      <c r="C59" s="325"/>
      <c r="D59" s="325"/>
      <c r="E59" s="325"/>
      <c r="F59" s="325"/>
      <c r="G59" s="325"/>
      <c r="H59" s="325"/>
      <c r="I59" s="325"/>
      <c r="J59" s="325"/>
      <c r="K59" s="325"/>
      <c r="L59" s="326"/>
      <c r="M59" s="326"/>
      <c r="N59" s="326"/>
      <c r="O59" s="326"/>
      <c r="P59" s="326"/>
      <c r="Q59" s="326"/>
      <c r="R59" s="327"/>
      <c r="S59" s="861">
        <v>48</v>
      </c>
      <c r="T59" s="862"/>
      <c r="U59" s="862"/>
      <c r="V59" s="862"/>
      <c r="W59" s="863"/>
      <c r="X59" s="328" t="s">
        <v>39</v>
      </c>
      <c r="Y59" s="861">
        <v>90</v>
      </c>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383</v>
      </c>
      <c r="C60" s="332"/>
      <c r="D60" s="332"/>
      <c r="E60" s="332"/>
      <c r="F60" s="332"/>
      <c r="G60" s="332"/>
      <c r="H60" s="332"/>
      <c r="I60" s="332"/>
      <c r="J60" s="332"/>
      <c r="K60" s="332"/>
      <c r="L60" s="333"/>
      <c r="M60" s="333"/>
      <c r="N60" s="333"/>
      <c r="O60" s="333"/>
      <c r="P60" s="333"/>
      <c r="Q60" s="333"/>
      <c r="R60" s="333"/>
      <c r="S60" s="845">
        <v>4</v>
      </c>
      <c r="T60" s="846"/>
      <c r="U60" s="846"/>
      <c r="V60" s="846"/>
      <c r="W60" s="847"/>
      <c r="X60" s="328" t="s">
        <v>39</v>
      </c>
      <c r="Y60" s="845">
        <v>7.5</v>
      </c>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384</v>
      </c>
      <c r="C61" s="334"/>
      <c r="D61" s="334"/>
      <c r="E61" s="334"/>
      <c r="F61" s="334"/>
      <c r="G61" s="334"/>
      <c r="H61" s="334"/>
      <c r="I61" s="334"/>
      <c r="J61" s="334"/>
      <c r="K61" s="334"/>
      <c r="L61" s="302"/>
      <c r="M61" s="302"/>
      <c r="N61" s="302"/>
      <c r="O61" s="302"/>
      <c r="P61" s="302"/>
      <c r="Q61" s="302"/>
      <c r="R61" s="302"/>
      <c r="S61" s="842">
        <f>IFERROR(ROUND(S58/S59,),"")</f>
        <v>308227</v>
      </c>
      <c r="T61" s="843"/>
      <c r="U61" s="843"/>
      <c r="V61" s="843"/>
      <c r="W61" s="844"/>
      <c r="X61" s="328" t="s">
        <v>2</v>
      </c>
      <c r="Y61" s="842">
        <f>IFERROR(ROUND(Y58/Y59,),"")</f>
        <v>269344</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385</v>
      </c>
      <c r="C62" s="998"/>
      <c r="D62" s="998"/>
      <c r="E62" s="998"/>
      <c r="F62" s="998"/>
      <c r="G62" s="998"/>
      <c r="H62" s="998"/>
      <c r="I62" s="998"/>
      <c r="J62" s="998"/>
      <c r="K62" s="335"/>
      <c r="L62" s="336" t="s">
        <v>288</v>
      </c>
      <c r="M62" s="337"/>
      <c r="N62" s="337"/>
      <c r="O62" s="337"/>
      <c r="P62" s="337"/>
      <c r="Q62" s="337"/>
      <c r="R62" s="337"/>
      <c r="S62" s="859">
        <f>CEILING(AN63,1)</f>
        <v>23288</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f>T63</f>
        <v>1117824</v>
      </c>
      <c r="O63" s="848"/>
      <c r="P63" s="848"/>
      <c r="Q63" s="340" t="s">
        <v>289</v>
      </c>
      <c r="R63" s="341" t="s">
        <v>290</v>
      </c>
      <c r="S63" s="342" t="s">
        <v>215</v>
      </c>
      <c r="T63" s="849">
        <f>S60*S62*12</f>
        <v>1117824</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f>AB49/(S60*12)</f>
        <v>23287.5</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f>IF((CEILING(AN66,1)-AN66)-2*(CEILING(AO66,1)-AO66)&gt;=0,CEILING(AN66,1),CEILING(AN66+AS67/S60/12,1))</f>
        <v>12020</v>
      </c>
      <c r="T64" s="974"/>
      <c r="U64" s="974"/>
      <c r="V64" s="974"/>
      <c r="W64" s="974"/>
      <c r="X64" s="345" t="s">
        <v>289</v>
      </c>
      <c r="Y64" s="973">
        <f>IF((CEILING(AN66,1)-AN66)-2*(CEILING(AO66,1)-AO66)&gt;=0,CEILING(AO66,1),FLOOR(AO66,1))</f>
        <v>6010</v>
      </c>
      <c r="Z64" s="974"/>
      <c r="AA64" s="974"/>
      <c r="AB64" s="974"/>
      <c r="AC64" s="974"/>
      <c r="AD64" s="345" t="s">
        <v>289</v>
      </c>
      <c r="AE64" s="871"/>
      <c r="AF64" s="872"/>
      <c r="AG64" s="872"/>
      <c r="AH64" s="872"/>
      <c r="AI64" s="872"/>
      <c r="AJ64" s="873"/>
      <c r="AL64" s="90"/>
      <c r="AM64" s="91" t="s">
        <v>159</v>
      </c>
      <c r="AN64" s="92">
        <f>AB49</f>
        <v>1117800</v>
      </c>
      <c r="AO64" s="93"/>
      <c r="AP64" s="92"/>
      <c r="AQ64" s="94">
        <f>SUM(AN64:AP64)</f>
        <v>1117800</v>
      </c>
      <c r="AR64" s="95">
        <f>AQ64-S60*S62*12</f>
        <v>-24</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f>SUM(T65,Z65)</f>
        <v>1117860</v>
      </c>
      <c r="O65" s="848"/>
      <c r="P65" s="848"/>
      <c r="Q65" s="340" t="s">
        <v>289</v>
      </c>
      <c r="R65" s="341" t="s">
        <v>290</v>
      </c>
      <c r="S65" s="346" t="s">
        <v>215</v>
      </c>
      <c r="T65" s="848">
        <f>S60*S64*12</f>
        <v>576960</v>
      </c>
      <c r="U65" s="848"/>
      <c r="V65" s="848"/>
      <c r="W65" s="340" t="s">
        <v>289</v>
      </c>
      <c r="X65" s="347" t="s">
        <v>290</v>
      </c>
      <c r="Y65" s="346" t="s">
        <v>215</v>
      </c>
      <c r="Z65" s="848">
        <f>Y60*Y64*12</f>
        <v>540900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f>IF((CEILING(AN69,1)-AN69)-2*(CEILING(AO69,1)-AO69)&gt;=0,CEILING(AN69,1),CEILING(AN69+(AS69+AS70)/S60/12,1))</f>
        <v>12020</v>
      </c>
      <c r="T66" s="860"/>
      <c r="U66" s="860"/>
      <c r="V66" s="860"/>
      <c r="W66" s="860"/>
      <c r="X66" s="338" t="s">
        <v>289</v>
      </c>
      <c r="Y66" s="859">
        <f>IF((CEILING(AN69,1)-AN69)-2*(CEILING(AO69,1)-AO69)&gt;=0,CEILING(AO69,1),FLOOR(AO69,1))</f>
        <v>6010</v>
      </c>
      <c r="Z66" s="860"/>
      <c r="AA66" s="860"/>
      <c r="AB66" s="860"/>
      <c r="AC66" s="860"/>
      <c r="AD66" s="338" t="s">
        <v>289</v>
      </c>
      <c r="AE66" s="860">
        <f>IF(Y66-2*(CEILING(AP69,1))&gt;=0,CEILING(AP69,1),FLOOR(AP69,1))</f>
        <v>3005</v>
      </c>
      <c r="AF66" s="860"/>
      <c r="AG66" s="860"/>
      <c r="AH66" s="860"/>
      <c r="AI66" s="860"/>
      <c r="AJ66" s="349" t="s">
        <v>289</v>
      </c>
      <c r="AL66" s="107"/>
      <c r="AM66" s="108" t="s">
        <v>158</v>
      </c>
      <c r="AN66" s="109">
        <f>AB49/((S60+Y60/AU65)*12)</f>
        <v>12019.354838709678</v>
      </c>
      <c r="AO66" s="110">
        <f>AB49/((S60*AU65+Y60)*12)</f>
        <v>6009.677419354839</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f>SUM(T67,Z67,AF67)</f>
        <v>1117860</v>
      </c>
      <c r="O67" s="849"/>
      <c r="P67" s="849"/>
      <c r="Q67" s="343" t="s">
        <v>289</v>
      </c>
      <c r="R67" s="351" t="s">
        <v>290</v>
      </c>
      <c r="S67" s="342" t="s">
        <v>215</v>
      </c>
      <c r="T67" s="849">
        <f>S60*S66*12</f>
        <v>576960</v>
      </c>
      <c r="U67" s="849"/>
      <c r="V67" s="849"/>
      <c r="W67" s="343" t="s">
        <v>289</v>
      </c>
      <c r="X67" s="347" t="s">
        <v>290</v>
      </c>
      <c r="Y67" s="342" t="s">
        <v>215</v>
      </c>
      <c r="Z67" s="849">
        <f>Y60*Y66*12</f>
        <v>540900</v>
      </c>
      <c r="AA67" s="849"/>
      <c r="AB67" s="849"/>
      <c r="AC67" s="343" t="s">
        <v>289</v>
      </c>
      <c r="AD67" s="347" t="s">
        <v>290</v>
      </c>
      <c r="AE67" s="343" t="s">
        <v>215</v>
      </c>
      <c r="AF67" s="849">
        <f>AE60*AE66*12</f>
        <v>0</v>
      </c>
      <c r="AG67" s="849"/>
      <c r="AH67" s="849"/>
      <c r="AI67" s="343" t="s">
        <v>289</v>
      </c>
      <c r="AJ67" s="352" t="s">
        <v>290</v>
      </c>
      <c r="AL67" s="90"/>
      <c r="AM67" s="90" t="s">
        <v>159</v>
      </c>
      <c r="AN67" s="116">
        <f>AB49/(1+Y60/S60/AU65)</f>
        <v>576929.03225806449</v>
      </c>
      <c r="AO67" s="117">
        <f>AB49/(S60/Y60*AU65+1)</f>
        <v>540870.96774193551</v>
      </c>
      <c r="AP67" s="116"/>
      <c r="AQ67" s="94">
        <f>SUM(AN67:AP67)</f>
        <v>1117800</v>
      </c>
      <c r="AR67" s="95">
        <f>AQ67-S60*S64*12-Y60*Y64*12</f>
        <v>-60</v>
      </c>
      <c r="AS67" s="98">
        <f>IF((CEILING(AN66,1)-AN66)-2*(CEILING(AO66,1)-AO66)&gt;=0,0,(AO66-FLOOR(AO66,1))*Y60*12)</f>
        <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f>AB49/((S60+Y60/AU68+AE60/AU70)*12)</f>
        <v>12019.354838709678</v>
      </c>
      <c r="AO69" s="110">
        <f>AB49/((S60*AU68+Y60+AE60/AU69)*12)</f>
        <v>6009.677419354839</v>
      </c>
      <c r="AP69" s="109">
        <f>AB49/((S60*AU70+Y60*AU69+AE60)*12)</f>
        <v>3004.8387096774195</v>
      </c>
      <c r="AQ69" s="111"/>
      <c r="AR69" s="112"/>
      <c r="AS69" s="126">
        <f>IF((CEILING(AN69,1)-AN69)-2*(CEILING(AO69,1)-AO69)&gt;=0,0,(AO69-FLOOR(AO69,1))*Y60*12)</f>
        <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v>1</v>
      </c>
      <c r="Y70" s="968"/>
      <c r="Z70" s="365" t="s">
        <v>83</v>
      </c>
      <c r="AA70" s="366"/>
      <c r="AB70" s="366"/>
      <c r="AC70" s="969"/>
      <c r="AD70" s="969"/>
      <c r="AE70" s="365"/>
      <c r="AF70" s="365"/>
      <c r="AG70" s="365"/>
      <c r="AH70" s="367"/>
      <c r="AI70" s="368"/>
      <c r="AJ70" s="369"/>
      <c r="AL70" s="127"/>
      <c r="AM70" s="90" t="s">
        <v>159</v>
      </c>
      <c r="AN70" s="128">
        <f>AB49/(1+Y60/S60/AU68+AE60/S60/AU70)</f>
        <v>576929.03225806449</v>
      </c>
      <c r="AO70" s="94">
        <f>AB49/(S60/Y60*AU68+1+AE60/Y60/AU69)</f>
        <v>540870.96774193551</v>
      </c>
      <c r="AP70" s="128" t="e">
        <f>AB49/(S60/AE60*AU70+Y60/AE60*AU69+1)</f>
        <v>#DIV/0!</v>
      </c>
      <c r="AQ70" s="94" t="e">
        <f>SUM(AN70:AP70)</f>
        <v>#DIV/0!</v>
      </c>
      <c r="AR70" s="95" t="e">
        <f>AQ70-S60*S66*12-Y60*Y66*12-AE60*AE66*12</f>
        <v>#DIV/0!</v>
      </c>
      <c r="AS70" s="129">
        <f>IF(Y66-2*(CEILING(AP69,1))&gt;=0,0,(AP69-FLOOR(AP69,1))*AE60*12)</f>
        <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386</v>
      </c>
      <c r="C76" s="386"/>
      <c r="D76" s="386"/>
      <c r="E76" s="386"/>
      <c r="F76" s="386"/>
      <c r="G76" s="386"/>
      <c r="H76" s="385"/>
      <c r="I76" s="385"/>
      <c r="J76" s="385"/>
      <c r="K76" s="385"/>
      <c r="L76" s="387"/>
      <c r="M76" s="283"/>
      <c r="N76" s="388" t="s">
        <v>199</v>
      </c>
      <c r="O76" s="284"/>
      <c r="P76" s="834">
        <v>3</v>
      </c>
      <c r="Q76" s="834"/>
      <c r="R76" s="284" t="s">
        <v>12</v>
      </c>
      <c r="S76" s="834">
        <v>6</v>
      </c>
      <c r="T76" s="834"/>
      <c r="U76" s="284" t="s">
        <v>13</v>
      </c>
      <c r="V76" s="790" t="s">
        <v>14</v>
      </c>
      <c r="W76" s="790"/>
      <c r="X76" s="284" t="s">
        <v>34</v>
      </c>
      <c r="Y76" s="284"/>
      <c r="Z76" s="834">
        <v>4</v>
      </c>
      <c r="AA76" s="834"/>
      <c r="AB76" s="284" t="s">
        <v>12</v>
      </c>
      <c r="AC76" s="834">
        <v>5</v>
      </c>
      <c r="AD76" s="834"/>
      <c r="AE76" s="284" t="s">
        <v>13</v>
      </c>
      <c r="AF76" s="284" t="s">
        <v>197</v>
      </c>
      <c r="AG76" s="284">
        <f>IF(P76&gt;=1,(Z76*12+AC76)-(P76*12+S76)+1,"")</f>
        <v>12</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387</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391</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438</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388</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t="s">
        <v>458</v>
      </c>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211</v>
      </c>
      <c r="M96" s="944"/>
      <c r="N96" s="944"/>
      <c r="O96" s="839">
        <v>1</v>
      </c>
      <c r="P96" s="839"/>
      <c r="Q96" s="429" t="s">
        <v>5</v>
      </c>
      <c r="R96" s="839">
        <v>10</v>
      </c>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t="s">
        <v>459</v>
      </c>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t="s">
        <v>460</v>
      </c>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389</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v>1</v>
      </c>
      <c r="O111" s="800"/>
      <c r="P111" s="429" t="s">
        <v>5</v>
      </c>
      <c r="Q111" s="800">
        <v>10</v>
      </c>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390</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t="s">
        <v>461</v>
      </c>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433</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429</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419</v>
      </c>
      <c r="B151" s="817"/>
      <c r="C151" s="817"/>
      <c r="D151" s="818"/>
      <c r="E151" s="519"/>
      <c r="F151" s="945" t="s">
        <v>399</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400</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425</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426</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420</v>
      </c>
      <c r="B155" s="817"/>
      <c r="C155" s="817"/>
      <c r="D155" s="818"/>
      <c r="E155" s="523"/>
      <c r="F155" s="1052" t="s">
        <v>401</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402</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403</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404</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421</v>
      </c>
      <c r="B159" s="817"/>
      <c r="C159" s="817"/>
      <c r="D159" s="818"/>
      <c r="E159" s="525"/>
      <c r="F159" s="912" t="s">
        <v>405</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406</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407</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408</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422</v>
      </c>
      <c r="B163" s="817"/>
      <c r="C163" s="817"/>
      <c r="D163" s="818"/>
      <c r="E163" s="525"/>
      <c r="F163" s="792" t="s">
        <v>409</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427</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410</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411</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423</v>
      </c>
      <c r="B167" s="817"/>
      <c r="C167" s="817"/>
      <c r="D167" s="818"/>
      <c r="E167" s="525"/>
      <c r="F167" s="792" t="s">
        <v>412</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413</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414</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415</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424</v>
      </c>
      <c r="B171" s="817"/>
      <c r="C171" s="817"/>
      <c r="D171" s="818"/>
      <c r="E171" s="525"/>
      <c r="F171" s="1054" t="s">
        <v>416</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428</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417</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418</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430</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350</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v>3</v>
      </c>
      <c r="E200" s="922"/>
      <c r="F200" s="578" t="s">
        <v>5</v>
      </c>
      <c r="G200" s="921">
        <v>4</v>
      </c>
      <c r="H200" s="922"/>
      <c r="I200" s="578" t="s">
        <v>4</v>
      </c>
      <c r="J200" s="921">
        <v>9</v>
      </c>
      <c r="K200" s="922"/>
      <c r="L200" s="578" t="s">
        <v>3</v>
      </c>
      <c r="M200" s="579"/>
      <c r="N200" s="923" t="s">
        <v>6</v>
      </c>
      <c r="O200" s="923"/>
      <c r="P200" s="923"/>
      <c r="Q200" s="924" t="str">
        <f>IF(G9="","",G9)</f>
        <v>株式会社ラッシュ</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t="s">
        <v>462</v>
      </c>
      <c r="T201" s="916"/>
      <c r="U201" s="916"/>
      <c r="V201" s="916"/>
      <c r="W201" s="916"/>
      <c r="X201" s="917" t="s">
        <v>115</v>
      </c>
      <c r="Y201" s="917"/>
      <c r="Z201" s="916" t="s">
        <v>453</v>
      </c>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M1" zoomScale="77" zoomScaleNormal="85" zoomScaleSheetLayoutView="130" zoomScalePageLayoutView="70" workbookViewId="0">
      <selection activeCell="AA13" sqref="AA13"/>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株式会社ラッシュ</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5394600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f>IF(基本情報入力シート!C33="","",基本情報入力シート!C33)</f>
        <v>3</v>
      </c>
      <c r="C12" s="619">
        <f>IF(基本情報入力シート!D33="","",基本情報入力シート!D33)</f>
        <v>2</v>
      </c>
      <c r="D12" s="620">
        <f>IF(基本情報入力シート!E33="","",基本情報入力シート!E33)</f>
        <v>9</v>
      </c>
      <c r="E12" s="620">
        <f>IF(基本情報入力シート!F33="","",基本情報入力シート!F33)</f>
        <v>0</v>
      </c>
      <c r="F12" s="620">
        <f>IF(基本情報入力シート!G33="","",基本情報入力シート!G33)</f>
        <v>4</v>
      </c>
      <c r="G12" s="620">
        <f>IF(基本情報入力シート!H33="","",基本情報入力シート!H33)</f>
        <v>0</v>
      </c>
      <c r="H12" s="620">
        <f>IF(基本情報入力シート!I33="","",基本情報入力シート!I33)</f>
        <v>0</v>
      </c>
      <c r="I12" s="620">
        <f>IF(基本情報入力シート!J33="","",基本情報入力シート!J33)</f>
        <v>6</v>
      </c>
      <c r="J12" s="620">
        <f>IF(基本情報入力シート!K33="","",基本情報入力シート!K33)</f>
        <v>4</v>
      </c>
      <c r="K12" s="621">
        <f>IF(基本情報入力シート!L33="","",基本情報入力シート!L33)</f>
        <v>1</v>
      </c>
      <c r="L12" s="622" t="str">
        <f>IF(基本情報入力シート!M33="","",基本情報入力シート!M33)</f>
        <v>出雲市</v>
      </c>
      <c r="M12" s="622" t="str">
        <f>IF(基本情報入力シート!R33="","",基本情報入力シート!R33)</f>
        <v>島根県</v>
      </c>
      <c r="N12" s="622" t="str">
        <f>IF(基本情報入力シート!W33="","",基本情報入力シート!W33)</f>
        <v>出雲市</v>
      </c>
      <c r="O12" s="617" t="str">
        <f>IF(基本情報入力シート!X33="","",基本情報入力シート!X33)</f>
        <v>グループホーム柳緑の里</v>
      </c>
      <c r="P12" s="623" t="str">
        <f>IF(基本情報入力シート!Y33="","",基本情報入力シート!Y33)</f>
        <v>（介護予防）認知症対応型共同生活介護</v>
      </c>
      <c r="Q12" s="624">
        <f>IF(基本情報入力シート!Z33="","",基本情報入力シート!Z33)</f>
        <v>405000</v>
      </c>
      <c r="R12" s="625">
        <f>IF(基本情報入力シート!AA33="","",基本情報入力シート!AA33)</f>
        <v>10</v>
      </c>
      <c r="S12" s="626" t="s">
        <v>463</v>
      </c>
      <c r="T12" s="627" t="s">
        <v>464</v>
      </c>
      <c r="U12" s="628">
        <f>IF(P12="","",VLOOKUP(P12,【参考】数式用!$A$5:$I$28,MATCH(T12,【参考】数式用!$C$4:$G$4,0)+2,0))</f>
        <v>0.111</v>
      </c>
      <c r="V12" s="260" t="s">
        <v>34</v>
      </c>
      <c r="W12" s="629">
        <v>3</v>
      </c>
      <c r="X12" s="257" t="s">
        <v>12</v>
      </c>
      <c r="Y12" s="629">
        <v>4</v>
      </c>
      <c r="Z12" s="409" t="s">
        <v>104</v>
      </c>
      <c r="AA12" s="630">
        <v>4</v>
      </c>
      <c r="AB12" s="257" t="s">
        <v>12</v>
      </c>
      <c r="AC12" s="630">
        <v>3</v>
      </c>
      <c r="AD12" s="257" t="s">
        <v>17</v>
      </c>
      <c r="AE12" s="631" t="s">
        <v>49</v>
      </c>
      <c r="AF12" s="632">
        <f>IF(W12&gt;=1,(AA12*12+AC12)-(W12*12+Y12)+1,"")</f>
        <v>12</v>
      </c>
      <c r="AG12" s="633" t="s">
        <v>69</v>
      </c>
      <c r="AH12" s="634">
        <f>IFERROR(ROUNDDOWN(ROUND(Q12*R12,0)*U12,0)*AF12,"")</f>
        <v>5394600</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xr:uid="{00000000-0009-0000-0000-000003000000}"/>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5"/>
  <sheetViews>
    <sheetView topLeftCell="J1" zoomScale="70" zoomScaleNormal="70" zoomScaleSheetLayoutView="70" workbookViewId="0">
      <selection activeCell="S13" sqref="S13"/>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株式会社ラッシュ</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1117800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f>IF(基本情報入力シート!C33="","",基本情報入力シート!C33)</f>
        <v>3</v>
      </c>
      <c r="C12" s="619">
        <f>IF(基本情報入力シート!D33="","",基本情報入力シート!D33)</f>
        <v>2</v>
      </c>
      <c r="D12" s="620">
        <f>IF(基本情報入力シート!E33="","",基本情報入力シート!E33)</f>
        <v>9</v>
      </c>
      <c r="E12" s="620">
        <f>IF(基本情報入力シート!F33="","",基本情報入力シート!F33)</f>
        <v>0</v>
      </c>
      <c r="F12" s="620">
        <f>IF(基本情報入力シート!G33="","",基本情報入力シート!G33)</f>
        <v>4</v>
      </c>
      <c r="G12" s="620">
        <f>IF(基本情報入力シート!H33="","",基本情報入力シート!H33)</f>
        <v>0</v>
      </c>
      <c r="H12" s="620">
        <f>IF(基本情報入力シート!I33="","",基本情報入力シート!I33)</f>
        <v>0</v>
      </c>
      <c r="I12" s="620">
        <f>IF(基本情報入力シート!J33="","",基本情報入力シート!J33)</f>
        <v>6</v>
      </c>
      <c r="J12" s="620">
        <f>IF(基本情報入力シート!K33="","",基本情報入力シート!K33)</f>
        <v>4</v>
      </c>
      <c r="K12" s="621">
        <f>IF(基本情報入力シート!L33="","",基本情報入力シート!L33)</f>
        <v>1</v>
      </c>
      <c r="L12" s="622" t="str">
        <f>IF(基本情報入力シート!M33="","",基本情報入力シート!M33)</f>
        <v>出雲市</v>
      </c>
      <c r="M12" s="622" t="str">
        <f>IF(基本情報入力シート!R33="","",基本情報入力シート!R33)</f>
        <v>島根県</v>
      </c>
      <c r="N12" s="622" t="str">
        <f>IF(基本情報入力シート!W33="","",基本情報入力シート!W33)</f>
        <v>出雲市</v>
      </c>
      <c r="O12" s="617" t="str">
        <f>IF(基本情報入力シート!X33="","",基本情報入力シート!X33)</f>
        <v>グループホーム柳緑の里</v>
      </c>
      <c r="P12" s="623" t="str">
        <f>IF(基本情報入力シート!Y33="","",基本情報入力シート!Y33)</f>
        <v>（介護予防）認知症対応型共同生活介護</v>
      </c>
      <c r="Q12" s="624">
        <f>IF(基本情報入力シート!Z33="","",基本情報入力シート!Z33)</f>
        <v>405000</v>
      </c>
      <c r="R12" s="651">
        <f>IF(基本情報入力シート!AA33="","",基本情報入力シート!AA33)</f>
        <v>10</v>
      </c>
      <c r="S12" s="652" t="s">
        <v>463</v>
      </c>
      <c r="T12" s="653" t="s">
        <v>465</v>
      </c>
      <c r="U12" s="654">
        <f>IF(P12="","",VLOOKUP(P12,【参考】数式用!$A$5:$I$28,MATCH(T12,【参考】数式用!$H$4:$I$4,0)+7,0))</f>
        <v>2.3E-2</v>
      </c>
      <c r="V12" s="655" t="s">
        <v>271</v>
      </c>
      <c r="W12" s="260" t="s">
        <v>34</v>
      </c>
      <c r="X12" s="656">
        <v>3</v>
      </c>
      <c r="Y12" s="257" t="s">
        <v>12</v>
      </c>
      <c r="Z12" s="656">
        <v>4</v>
      </c>
      <c r="AA12" s="409" t="s">
        <v>104</v>
      </c>
      <c r="AB12" s="656">
        <v>4</v>
      </c>
      <c r="AC12" s="257" t="s">
        <v>12</v>
      </c>
      <c r="AD12" s="656">
        <v>3</v>
      </c>
      <c r="AE12" s="257" t="s">
        <v>17</v>
      </c>
      <c r="AF12" s="631" t="s">
        <v>49</v>
      </c>
      <c r="AG12" s="633">
        <f t="shared" ref="AG12:AG16" si="0">IF(X12&gt;=1,(AB12*12+AD12)-(X12*12+Z12)+1,"")</f>
        <v>12</v>
      </c>
      <c r="AH12" s="633" t="s">
        <v>69</v>
      </c>
      <c r="AI12" s="634">
        <f t="shared" ref="AI12:AI43" si="1">IFERROR(ROUNDDOWN(ROUND(Q12*R12,0)*U12,0)*AG12,"")</f>
        <v>1117800</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xr:uid="{00000000-0009-0000-0000-000004000000}"/>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361</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394</v>
      </c>
      <c r="K5" s="49" t="s">
        <v>395</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393</v>
      </c>
      <c r="K6" s="49" t="s">
        <v>392</v>
      </c>
      <c r="L6" s="12" t="s">
        <v>271</v>
      </c>
      <c r="M6" s="4" t="s">
        <v>274</v>
      </c>
    </row>
    <row r="7" spans="1:13" ht="18" customHeight="1">
      <c r="A7" s="1115" t="s">
        <v>362</v>
      </c>
      <c r="B7" s="1116"/>
      <c r="C7" s="17">
        <v>0.13700000000000001</v>
      </c>
      <c r="D7" s="11">
        <v>0.1</v>
      </c>
      <c r="E7" s="15">
        <v>5.5E-2</v>
      </c>
      <c r="F7" s="6">
        <f t="shared" si="0"/>
        <v>4.9500000000000002E-2</v>
      </c>
      <c r="G7" s="7">
        <f t="shared" si="1"/>
        <v>4.4000000000000004E-2</v>
      </c>
      <c r="H7" s="17">
        <v>6.3E-2</v>
      </c>
      <c r="I7" s="12">
        <v>4.2000000000000003E-2</v>
      </c>
      <c r="J7" s="15" t="s">
        <v>393</v>
      </c>
      <c r="K7" s="49" t="s">
        <v>392</v>
      </c>
      <c r="L7" s="12" t="s">
        <v>271</v>
      </c>
      <c r="M7" s="4" t="s">
        <v>274</v>
      </c>
    </row>
    <row r="8" spans="1:13" ht="18" customHeight="1">
      <c r="A8" s="1115" t="s">
        <v>351</v>
      </c>
      <c r="B8" s="1116"/>
      <c r="C8" s="17">
        <v>5.8000000000000003E-2</v>
      </c>
      <c r="D8" s="11">
        <v>4.2000000000000003E-2</v>
      </c>
      <c r="E8" s="15">
        <v>2.3E-2</v>
      </c>
      <c r="F8" s="6">
        <f t="shared" si="0"/>
        <v>2.07E-2</v>
      </c>
      <c r="G8" s="7">
        <f t="shared" si="1"/>
        <v>1.84E-2</v>
      </c>
      <c r="H8" s="17">
        <v>2.1000000000000001E-2</v>
      </c>
      <c r="I8" s="12">
        <v>1.4999999999999999E-2</v>
      </c>
      <c r="J8" s="15" t="s">
        <v>393</v>
      </c>
      <c r="K8" s="49" t="s">
        <v>392</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393</v>
      </c>
      <c r="K9" s="49" t="s">
        <v>392</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393</v>
      </c>
      <c r="K10" s="49" t="s">
        <v>392</v>
      </c>
      <c r="L10" s="12" t="s">
        <v>396</v>
      </c>
      <c r="M10" s="4" t="s">
        <v>274</v>
      </c>
    </row>
    <row r="11" spans="1:13" ht="18" customHeight="1">
      <c r="A11" s="1115" t="s">
        <v>352</v>
      </c>
      <c r="B11" s="1116"/>
      <c r="C11" s="17">
        <v>4.7E-2</v>
      </c>
      <c r="D11" s="11">
        <v>3.4000000000000002E-2</v>
      </c>
      <c r="E11" s="15">
        <v>1.9E-2</v>
      </c>
      <c r="F11" s="6">
        <f t="shared" si="0"/>
        <v>1.7100000000000001E-2</v>
      </c>
      <c r="G11" s="7">
        <f t="shared" si="1"/>
        <v>1.52E-2</v>
      </c>
      <c r="H11" s="17">
        <v>0.02</v>
      </c>
      <c r="I11" s="12">
        <v>1.7000000000000001E-2</v>
      </c>
      <c r="J11" s="15" t="s">
        <v>393</v>
      </c>
      <c r="K11" s="49" t="s">
        <v>392</v>
      </c>
      <c r="L11" s="12" t="s">
        <v>271</v>
      </c>
      <c r="M11" s="4" t="s">
        <v>274</v>
      </c>
    </row>
    <row r="12" spans="1:13" ht="18" customHeight="1">
      <c r="A12" s="1115" t="s">
        <v>353</v>
      </c>
      <c r="B12" s="1116"/>
      <c r="C12" s="17">
        <v>8.2000000000000003E-2</v>
      </c>
      <c r="D12" s="11">
        <v>0.06</v>
      </c>
      <c r="E12" s="15">
        <v>3.3000000000000002E-2</v>
      </c>
      <c r="F12" s="6">
        <f t="shared" si="0"/>
        <v>2.9700000000000001E-2</v>
      </c>
      <c r="G12" s="7">
        <f t="shared" si="1"/>
        <v>2.6400000000000003E-2</v>
      </c>
      <c r="H12" s="17">
        <v>1.7999999999999999E-2</v>
      </c>
      <c r="I12" s="12">
        <v>1.2E-2</v>
      </c>
      <c r="J12" s="15" t="s">
        <v>393</v>
      </c>
      <c r="K12" s="49" t="s">
        <v>392</v>
      </c>
      <c r="L12" s="12" t="s">
        <v>397</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393</v>
      </c>
      <c r="K13" s="49" t="s">
        <v>392</v>
      </c>
      <c r="L13" s="12" t="s">
        <v>397</v>
      </c>
      <c r="M13" s="4" t="s">
        <v>274</v>
      </c>
    </row>
    <row r="14" spans="1:13" ht="18" customHeight="1">
      <c r="A14" s="1115" t="s">
        <v>354</v>
      </c>
      <c r="B14" s="1116"/>
      <c r="C14" s="17">
        <v>0.104</v>
      </c>
      <c r="D14" s="11">
        <v>7.5999999999999998E-2</v>
      </c>
      <c r="E14" s="15">
        <v>4.2000000000000003E-2</v>
      </c>
      <c r="F14" s="6">
        <f t="shared" si="0"/>
        <v>3.78E-2</v>
      </c>
      <c r="G14" s="7">
        <f t="shared" si="1"/>
        <v>3.3600000000000005E-2</v>
      </c>
      <c r="H14" s="17">
        <v>3.1E-2</v>
      </c>
      <c r="I14" s="12">
        <v>2.4E-2</v>
      </c>
      <c r="J14" s="15" t="s">
        <v>393</v>
      </c>
      <c r="K14" s="49" t="s">
        <v>392</v>
      </c>
      <c r="L14" s="12" t="s">
        <v>271</v>
      </c>
      <c r="M14" s="4" t="s">
        <v>274</v>
      </c>
    </row>
    <row r="15" spans="1:13" ht="18" customHeight="1">
      <c r="A15" s="1115" t="s">
        <v>355</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393</v>
      </c>
      <c r="K15" s="49" t="s">
        <v>392</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393</v>
      </c>
      <c r="K16" s="49" t="s">
        <v>392</v>
      </c>
      <c r="L16" s="12" t="s">
        <v>271</v>
      </c>
      <c r="M16" s="4" t="s">
        <v>274</v>
      </c>
    </row>
    <row r="17" spans="1:13" ht="18" customHeight="1">
      <c r="A17" s="1115" t="s">
        <v>356</v>
      </c>
      <c r="B17" s="1116"/>
      <c r="C17" s="17">
        <v>0.111</v>
      </c>
      <c r="D17" s="11">
        <v>8.1000000000000003E-2</v>
      </c>
      <c r="E17" s="15">
        <v>4.4999999999999998E-2</v>
      </c>
      <c r="F17" s="6">
        <f t="shared" si="0"/>
        <v>4.0500000000000001E-2</v>
      </c>
      <c r="G17" s="7">
        <f t="shared" si="1"/>
        <v>3.5999999999999997E-2</v>
      </c>
      <c r="H17" s="17">
        <v>3.1E-2</v>
      </c>
      <c r="I17" s="12">
        <v>2.3E-2</v>
      </c>
      <c r="J17" s="15" t="s">
        <v>393</v>
      </c>
      <c r="K17" s="49" t="s">
        <v>392</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393</v>
      </c>
      <c r="K18" s="49" t="s">
        <v>392</v>
      </c>
      <c r="L18" s="12" t="s">
        <v>398</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393</v>
      </c>
      <c r="K19" s="49" t="s">
        <v>392</v>
      </c>
      <c r="L19" s="12" t="s">
        <v>398</v>
      </c>
      <c r="M19" s="4" t="s">
        <v>274</v>
      </c>
    </row>
    <row r="20" spans="1:13" ht="27.75" customHeight="1">
      <c r="A20" s="1115" t="s">
        <v>359</v>
      </c>
      <c r="B20" s="1116"/>
      <c r="C20" s="17">
        <v>8.3000000000000004E-2</v>
      </c>
      <c r="D20" s="11">
        <v>0.06</v>
      </c>
      <c r="E20" s="15">
        <v>3.3000000000000002E-2</v>
      </c>
      <c r="F20" s="6">
        <f t="shared" si="0"/>
        <v>2.9700000000000001E-2</v>
      </c>
      <c r="G20" s="7">
        <f t="shared" si="1"/>
        <v>2.6400000000000003E-2</v>
      </c>
      <c r="H20" s="17">
        <v>2.7E-2</v>
      </c>
      <c r="I20" s="12">
        <v>2.3E-2</v>
      </c>
      <c r="J20" s="15" t="s">
        <v>393</v>
      </c>
      <c r="K20" s="49" t="s">
        <v>392</v>
      </c>
      <c r="L20" s="12" t="s">
        <v>443</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393</v>
      </c>
      <c r="K21" s="49" t="s">
        <v>392</v>
      </c>
      <c r="L21" s="12" t="s">
        <v>271</v>
      </c>
      <c r="M21" s="4" t="s">
        <v>274</v>
      </c>
    </row>
    <row r="22" spans="1:13" ht="29.25" customHeight="1">
      <c r="A22" s="1115" t="s">
        <v>358</v>
      </c>
      <c r="B22" s="1116"/>
      <c r="C22" s="17">
        <v>3.9E-2</v>
      </c>
      <c r="D22" s="11">
        <v>2.9000000000000001E-2</v>
      </c>
      <c r="E22" s="15">
        <v>1.6E-2</v>
      </c>
      <c r="F22" s="6">
        <f t="shared" si="0"/>
        <v>1.4400000000000001E-2</v>
      </c>
      <c r="G22" s="7">
        <f t="shared" si="1"/>
        <v>1.2800000000000001E-2</v>
      </c>
      <c r="H22" s="17">
        <v>2.1000000000000001E-2</v>
      </c>
      <c r="I22" s="12">
        <v>1.7000000000000001E-2</v>
      </c>
      <c r="J22" s="15" t="s">
        <v>393</v>
      </c>
      <c r="K22" s="49" t="s">
        <v>392</v>
      </c>
      <c r="L22" s="12" t="s">
        <v>442</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393</v>
      </c>
      <c r="K23" s="49" t="s">
        <v>392</v>
      </c>
      <c r="L23" s="12" t="s">
        <v>271</v>
      </c>
      <c r="M23" s="4" t="s">
        <v>274</v>
      </c>
    </row>
    <row r="24" spans="1:13" ht="27.75" customHeight="1">
      <c r="A24" s="1115" t="s">
        <v>357</v>
      </c>
      <c r="B24" s="1116"/>
      <c r="C24" s="17">
        <v>2.5999999999999999E-2</v>
      </c>
      <c r="D24" s="11">
        <v>1.9E-2</v>
      </c>
      <c r="E24" s="15">
        <v>0.01</v>
      </c>
      <c r="F24" s="6">
        <f t="shared" si="0"/>
        <v>9.0000000000000011E-3</v>
      </c>
      <c r="G24" s="7">
        <f t="shared" si="1"/>
        <v>8.0000000000000002E-3</v>
      </c>
      <c r="H24" s="17">
        <v>1.4999999999999999E-2</v>
      </c>
      <c r="I24" s="12">
        <v>1.0999999999999999E-2</v>
      </c>
      <c r="J24" s="15" t="s">
        <v>393</v>
      </c>
      <c r="K24" s="49" t="s">
        <v>392</v>
      </c>
      <c r="L24" s="12" t="s">
        <v>442</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393</v>
      </c>
      <c r="K25" s="49" t="s">
        <v>392</v>
      </c>
      <c r="L25" s="12" t="s">
        <v>271</v>
      </c>
      <c r="M25" s="4" t="s">
        <v>274</v>
      </c>
    </row>
    <row r="26" spans="1:13" s="4" customFormat="1" ht="27.75" customHeight="1" thickBot="1">
      <c r="A26" s="1113" t="s">
        <v>360</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393</v>
      </c>
      <c r="K26" s="50" t="s">
        <v>392</v>
      </c>
      <c r="L26" s="14" t="s">
        <v>443</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439</v>
      </c>
      <c r="K27" s="684" t="s">
        <v>440</v>
      </c>
      <c r="L27" s="685" t="s">
        <v>441</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444</v>
      </c>
      <c r="K28" s="687" t="s">
        <v>446</v>
      </c>
      <c r="L28" s="688" t="s">
        <v>445</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2021-04-05T07:57:06Z</dcterms:modified>
</cp:coreProperties>
</file>